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7640" windowHeight="8010" firstSheet="2" activeTab="2"/>
  </bookViews>
  <sheets>
    <sheet name="Лист1" sheetId="1" state="hidden" r:id="rId1"/>
    <sheet name="План 2016" sheetId="2" state="hidden" r:id="rId2"/>
    <sheet name="Факт 2016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78" i="3" l="1"/>
  <c r="E10" i="3"/>
  <c r="E11" i="3"/>
  <c r="B41" i="3"/>
  <c r="G81" i="3"/>
  <c r="G79" i="3"/>
  <c r="G74" i="3"/>
  <c r="G66" i="3"/>
  <c r="G153" i="3"/>
  <c r="G154" i="3"/>
  <c r="E8" i="3"/>
  <c r="E6" i="3"/>
  <c r="B25" i="3"/>
  <c r="B23" i="3"/>
  <c r="B9" i="3"/>
  <c r="G9" i="3" s="1"/>
  <c r="G135" i="3"/>
  <c r="G134" i="3"/>
  <c r="G133" i="3"/>
  <c r="G132" i="3"/>
  <c r="G131" i="3"/>
  <c r="G121" i="3"/>
  <c r="G116" i="3"/>
  <c r="G115" i="3"/>
  <c r="B12" i="3"/>
  <c r="B10" i="3"/>
  <c r="B6" i="3"/>
  <c r="B8" i="3"/>
  <c r="E15" i="3"/>
  <c r="G30" i="3"/>
  <c r="B35" i="3"/>
  <c r="G67" i="3"/>
  <c r="G102" i="3"/>
  <c r="G101" i="3"/>
  <c r="G100" i="3"/>
  <c r="B11" i="3"/>
  <c r="G138" i="3"/>
  <c r="G136" i="3"/>
  <c r="G175" i="3"/>
  <c r="G96" i="3"/>
  <c r="G93" i="3"/>
  <c r="G75" i="3"/>
  <c r="G62" i="3"/>
  <c r="G77" i="3"/>
  <c r="G91" i="3"/>
  <c r="G85" i="3"/>
  <c r="G207" i="2"/>
  <c r="G4" i="3"/>
  <c r="H126" i="3"/>
  <c r="F126" i="3"/>
  <c r="F127" i="3"/>
  <c r="F125" i="3"/>
  <c r="K145" i="3"/>
  <c r="J127" i="3"/>
  <c r="J126" i="3"/>
  <c r="J125" i="3"/>
  <c r="J128" i="3" s="1"/>
  <c r="F161" i="3"/>
  <c r="F209" i="3"/>
  <c r="G206" i="3"/>
  <c r="G194" i="3"/>
  <c r="G185" i="3"/>
  <c r="G179" i="3"/>
  <c r="G176" i="3"/>
  <c r="G172" i="3"/>
  <c r="G168" i="3"/>
  <c r="G163" i="3"/>
  <c r="G155" i="3"/>
  <c r="G109" i="3"/>
  <c r="G41" i="3"/>
  <c r="G42" i="3" s="1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8" i="3"/>
  <c r="G7" i="3"/>
  <c r="G6" i="3"/>
  <c r="G37" i="3" l="1"/>
  <c r="G207" i="3" s="1"/>
  <c r="G212" i="3" s="1"/>
  <c r="G210" i="3"/>
  <c r="G157" i="2"/>
  <c r="G44" i="2"/>
  <c r="G41" i="2"/>
  <c r="G39" i="2"/>
  <c r="G36" i="2"/>
  <c r="G35" i="2"/>
  <c r="G33" i="2"/>
  <c r="G32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6" i="2"/>
  <c r="G214" i="3" l="1"/>
  <c r="G215" i="3"/>
  <c r="I6" i="2"/>
  <c r="F209" i="2"/>
  <c r="G206" i="2"/>
  <c r="G194" i="2"/>
  <c r="G185" i="2"/>
  <c r="G179" i="2"/>
  <c r="G176" i="2"/>
  <c r="G172" i="2"/>
  <c r="G168" i="2"/>
  <c r="G163" i="2"/>
  <c r="G158" i="2"/>
  <c r="G155" i="2"/>
  <c r="G109" i="2"/>
  <c r="G45" i="2"/>
  <c r="G42" i="2"/>
  <c r="G37" i="2"/>
  <c r="G216" i="3" l="1"/>
  <c r="G209" i="2"/>
  <c r="H209" i="2" s="1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14" i="2" l="1"/>
  <c r="H212" i="2" s="1"/>
  <c r="G212" i="2"/>
  <c r="G215" i="2"/>
  <c r="G216" i="2" l="1"/>
  <c r="F157" i="3" l="1"/>
  <c r="G158" i="3"/>
  <c r="E44" i="3"/>
  <c r="G45" i="3"/>
  <c r="H212" i="3" l="1"/>
  <c r="G209" i="3"/>
  <c r="H209" i="3" s="1"/>
</calcChain>
</file>

<file path=xl/sharedStrings.xml><?xml version="1.0" encoding="utf-8"?>
<sst xmlns="http://schemas.openxmlformats.org/spreadsheetml/2006/main" count="1917" uniqueCount="250">
  <si>
    <t>Мусы Джалиля ул., д.8, к.3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</si>
  <si>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</si>
  <si>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</si>
  <si>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</si>
  <si>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</si>
  <si>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</si>
  <si>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</si>
  <si>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</si>
  <si>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</si>
  <si>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</si>
  <si>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</si>
  <si>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</si>
  <si>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</si>
  <si>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</si>
  <si>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</si>
  <si>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</si>
  <si>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</si>
  <si>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</si>
  <si>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</si>
  <si>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</si>
  <si>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</si>
  <si>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</si>
  <si>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</si>
  <si>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</si>
  <si>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</si>
  <si>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</si>
  <si>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</si>
  <si>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</si>
  <si>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</si>
  <si>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</si>
  <si>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</si>
  <si>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</si>
  <si>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</si>
  <si>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</si>
  <si>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</si>
  <si>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</si>
  <si>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</si>
  <si>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</si>
  <si>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</si>
  <si>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</si>
  <si>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</si>
  <si>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</si>
  <si>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</si>
  <si>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</si>
  <si>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</si>
  <si>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</si>
  <si>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</si>
  <si>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</si>
  <si>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</si>
  <si>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</si>
  <si>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</si>
  <si>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</si>
  <si>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</si>
  <si>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</si>
  <si>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</si>
  <si>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</si>
  <si>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</si>
  <si>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</si>
  <si>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</si>
  <si>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</si>
  <si>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</si>
  <si>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</si>
  <si>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</si>
  <si>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</si>
  <si>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</si>
  <si>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</si>
  <si>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</si>
  <si>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</si>
  <si>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</si>
  <si>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</si>
  <si>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</si>
  <si>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</si>
  <si>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</si>
  <si>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</si>
  <si>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</si>
  <si>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</si>
  <si>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</si>
  <si>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</si>
  <si>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</si>
  <si>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</si>
  <si>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</si>
  <si>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</si>
  <si>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</si>
  <si>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</si>
  <si>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</si>
  <si>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</si>
  <si>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</si>
  <si>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</si>
  <si>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</si>
  <si>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</si>
  <si>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</si>
  <si>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</si>
  <si>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</si>
  <si>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</si>
  <si>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</si>
  <si>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</si>
  <si>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</si>
  <si>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</si>
  <si>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</si>
  <si>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</si>
  <si>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</si>
  <si>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</si>
  <si>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</si>
  <si>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</si>
  <si>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</si>
  <si>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</si>
  <si>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</si>
  <si>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</si>
  <si>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</si>
  <si>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</si>
  <si>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</si>
  <si>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</si>
  <si>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</si>
  <si>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</si>
  <si>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</si>
  <si>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</si>
  <si>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</si>
  <si>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</si>
  <si>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</si>
  <si>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</si>
  <si>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</si>
  <si>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</si>
  <si>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</si>
  <si>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</si>
  <si>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</si>
  <si>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</si>
  <si>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</si>
  <si>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</si>
  <si>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</si>
  <si>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</si>
  <si>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</si>
  <si>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</si>
  <si>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</si>
  <si>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</si>
  <si>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</si>
  <si>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</si>
  <si>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</si>
  <si>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</si>
  <si>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</si>
  <si>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</si>
  <si>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</si>
  <si>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</si>
  <si>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</si>
  <si>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</si>
  <si>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</si>
  <si>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</si>
  <si>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</si>
  <si>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</si>
  <si>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</si>
  <si>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</si>
  <si>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</si>
  <si>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</si>
  <si>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</si>
  <si>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</si>
  <si>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</si>
  <si>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</si>
  <si>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</si>
  <si>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</si>
  <si>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</si>
  <si>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</si>
  <si>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</si>
  <si>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</si>
  <si>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</si>
  <si>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</si>
  <si>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</si>
  <si>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</si>
  <si>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</si>
  <si>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</si>
  <si>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</si>
  <si>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</si>
  <si>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</si>
  <si>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</si>
  <si>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</si>
  <si>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</si>
  <si>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</si>
  <si>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</si>
  <si>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</si>
  <si>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</si>
  <si>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</si>
  <si>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</si>
  <si>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</si>
  <si>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</si>
  <si>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</si>
  <si>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</si>
  <si>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</si>
  <si>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</si>
  <si>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</si>
  <si>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</si>
  <si>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</si>
  <si>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</si>
  <si>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</si>
  <si>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</si>
  <si>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</si>
  <si>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</si>
  <si>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</si>
  <si>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</si>
  <si>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</si>
  <si>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</si>
  <si>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</si>
  <si>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</si>
  <si>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</si>
  <si>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</si>
  <si>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</si>
  <si>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</si>
  <si>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</si>
  <si>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</si>
  <si>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</si>
  <si>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</si>
  <si>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</si>
  <si>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</si>
  <si>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</si>
  <si>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</si>
  <si>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</si>
  <si>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</si>
  <si>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</si>
  <si>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</si>
  <si>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</si>
  <si>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</si>
  <si>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</si>
  <si>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</si>
  <si>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</si>
  <si>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</si>
  <si>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</si>
  <si>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</si>
  <si>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</si>
  <si>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</si>
  <si>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</si>
  <si>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</si>
  <si>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</si>
  <si>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</si>
  <si>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</si>
  <si>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</si>
  <si>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</si>
  <si>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</si>
  <si>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</si>
  <si>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</si>
  <si>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</si>
  <si>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</si>
  <si>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</si>
  <si>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</si>
  <si>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</si>
  <si>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</si>
  <si>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</si>
  <si>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</si>
  <si>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</si>
  <si>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</si>
  <si>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И.о. директора ГБУ г. Москвы "Жилищник района Зябликово"</t>
  </si>
  <si>
    <t>Г.В. Лалаян</t>
  </si>
  <si>
    <t>Факт 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</si>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</sst>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1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" fontId="2" fillId="0" borderId="0" xfId="0" applyNumberFormat="1" applyFont="1" applyFill="1"/>
    <xf numFmtId="164" fontId="2" fillId="0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28" sqref="A28"/>
    </sheetView>
  </sheetViews>
  <sheetFormatPr defaultRowHeight="11.25" customHeight="1" x14ac:dyDescent="0.2"/>
  <cols>
    <col min="1" max="1" width="55" style="4" customWidth="1"/>
    <col min="2" max="16384" width="9.140625" style="4"/>
  </cols>
  <sheetData>
    <row r="1" spans="1:8" s="1" customFormat="1" ht="17.25" customHeight="1" x14ac:dyDescent="0.25">
      <c r="A1" s="5" t="s">
        <v>239</v>
      </c>
    </row>
    <row r="2" spans="1:8" s="1" customFormat="1" ht="16.5" customHeight="1" x14ac:dyDescent="0.25">
      <c r="A2" s="41" t="s">
        <v>0</v>
      </c>
      <c r="B2" s="41"/>
      <c r="C2" s="41"/>
      <c r="D2" s="41"/>
      <c r="E2" s="41"/>
      <c r="F2" s="41"/>
      <c r="G2" s="41"/>
      <c r="H2" s="41"/>
    </row>
    <row r="3" spans="1:8" ht="11.25" customHeight="1" x14ac:dyDescent="0.2">
      <c r="A3" s="2" t="s">
        <v>1</v>
      </c>
      <c r="B3" s="38" t="s">
        <v>2</v>
      </c>
      <c r="C3" s="38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39" t="s">
        <v>8</v>
      </c>
      <c r="B4" s="39"/>
      <c r="C4" s="39"/>
      <c r="D4" s="39"/>
      <c r="E4" s="39"/>
      <c r="F4" s="39"/>
      <c r="G4" s="39"/>
      <c r="H4" s="39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291.2</v>
      </c>
      <c r="F5" s="3">
        <v>2.2799999999999998</v>
      </c>
      <c r="G5" s="3">
        <v>198.517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291.2</v>
      </c>
      <c r="F6" s="3">
        <v>3.23</v>
      </c>
      <c r="G6" s="3">
        <v>11.287000000000001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2911.8</v>
      </c>
      <c r="F7" s="3">
        <v>1.99</v>
      </c>
      <c r="G7" s="3">
        <v>301.31299999999999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2911.8</v>
      </c>
      <c r="F8" s="3">
        <v>2.54</v>
      </c>
      <c r="G8" s="3">
        <v>88.751999999999995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88</v>
      </c>
      <c r="F9" s="3">
        <v>3.08</v>
      </c>
      <c r="G9" s="3">
        <v>81.040999999999997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88</v>
      </c>
      <c r="F10" s="3">
        <v>19.63</v>
      </c>
      <c r="G10" s="3">
        <v>89.826999999999998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10.5</v>
      </c>
      <c r="F11" s="3">
        <v>3.25</v>
      </c>
      <c r="G11" s="3">
        <v>10.202999999999999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77</v>
      </c>
      <c r="F13" s="3">
        <v>8.3699999999999992</v>
      </c>
      <c r="G13" s="3">
        <v>0.64400000000000002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13964</v>
      </c>
      <c r="F14" s="3">
        <v>2.78</v>
      </c>
      <c r="G14" s="3">
        <v>38.82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356</v>
      </c>
      <c r="F15" s="3">
        <v>1.73</v>
      </c>
      <c r="G15" s="3">
        <v>0.61599999999999999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212</v>
      </c>
      <c r="F16" s="3">
        <v>4.0599999999999996</v>
      </c>
      <c r="G16" s="3">
        <v>0.86099999999999999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5.5</v>
      </c>
      <c r="F17" s="3">
        <v>4.04</v>
      </c>
      <c r="G17" s="3">
        <v>4.3999999999999997E-2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88</v>
      </c>
      <c r="F20" s="3">
        <v>2.4900000000000002</v>
      </c>
      <c r="G20" s="3">
        <v>0.219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44</v>
      </c>
      <c r="F21" s="3">
        <v>5.0199999999999996</v>
      </c>
      <c r="G21" s="3">
        <v>0.221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88</v>
      </c>
      <c r="F22" s="3">
        <v>2.4900000000000002</v>
      </c>
      <c r="G22" s="3">
        <v>0.219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14.5</v>
      </c>
      <c r="F23" s="3">
        <v>2.02</v>
      </c>
      <c r="G23" s="3">
        <v>2.9000000000000001E-2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941</v>
      </c>
      <c r="F24" s="3">
        <v>2.0299999999999998</v>
      </c>
      <c r="G24" s="3">
        <v>3.82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3</v>
      </c>
      <c r="C29" s="3" t="s">
        <v>46</v>
      </c>
      <c r="D29" s="3" t="s">
        <v>47</v>
      </c>
      <c r="E29" s="3">
        <v>0</v>
      </c>
      <c r="F29" s="3">
        <v>0</v>
      </c>
      <c r="G29" s="3">
        <v>14.33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853</v>
      </c>
      <c r="F31" s="3">
        <v>1.67</v>
      </c>
      <c r="G31" s="3">
        <v>1.425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853</v>
      </c>
      <c r="F32" s="3">
        <v>1.67</v>
      </c>
      <c r="G32" s="3">
        <v>1.425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26</v>
      </c>
      <c r="F34" s="3">
        <v>8.2899999999999991</v>
      </c>
      <c r="G34" s="3">
        <v>78.671999999999997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52</v>
      </c>
      <c r="F35" s="3">
        <v>3.59</v>
      </c>
      <c r="G35" s="3">
        <v>4.4800000000000004</v>
      </c>
      <c r="H35" s="3"/>
    </row>
    <row r="36" spans="1:8" s="10" customFormat="1" ht="11.25" customHeight="1" x14ac:dyDescent="0.2">
      <c r="A36" s="40" t="s">
        <v>56</v>
      </c>
      <c r="B36" s="40"/>
      <c r="C36" s="40"/>
      <c r="D36" s="40"/>
      <c r="E36" s="40"/>
      <c r="F36" s="40"/>
      <c r="G36" s="9">
        <f>SUM(G5:G35)</f>
        <v>926.76499999999999</v>
      </c>
      <c r="H36" s="9"/>
    </row>
    <row r="37" spans="1:8" ht="11.25" customHeight="1" x14ac:dyDescent="0.2">
      <c r="A37" s="39" t="s">
        <v>57</v>
      </c>
      <c r="B37" s="39"/>
      <c r="C37" s="39"/>
      <c r="D37" s="39"/>
      <c r="E37" s="39"/>
      <c r="F37" s="39"/>
      <c r="G37" s="39"/>
      <c r="H37" s="39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2</v>
      </c>
      <c r="F38" s="3">
        <v>180.52</v>
      </c>
      <c r="G38" s="3">
        <v>131.78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1.9</v>
      </c>
      <c r="F40" s="3">
        <v>307.25</v>
      </c>
      <c r="G40" s="3">
        <v>213.078</v>
      </c>
      <c r="H40" s="3"/>
    </row>
    <row r="41" spans="1:8" s="10" customFormat="1" ht="11.25" customHeight="1" x14ac:dyDescent="0.2">
      <c r="A41" s="40" t="s">
        <v>62</v>
      </c>
      <c r="B41" s="40"/>
      <c r="C41" s="40"/>
      <c r="D41" s="40"/>
      <c r="E41" s="40"/>
      <c r="F41" s="40"/>
      <c r="G41" s="9">
        <f>SUM(G38:G40)</f>
        <v>344.858</v>
      </c>
      <c r="H41" s="9"/>
    </row>
    <row r="42" spans="1:8" ht="11.25" customHeight="1" x14ac:dyDescent="0.2">
      <c r="A42" s="39" t="s">
        <v>63</v>
      </c>
      <c r="B42" s="39"/>
      <c r="C42" s="39"/>
      <c r="D42" s="39"/>
      <c r="E42" s="39"/>
      <c r="F42" s="39"/>
      <c r="G42" s="39"/>
      <c r="H42" s="39"/>
    </row>
    <row r="43" spans="1:8" ht="11.25" customHeight="1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18.8</v>
      </c>
      <c r="F43" s="3">
        <v>17.739999999999998</v>
      </c>
      <c r="G43" s="3">
        <v>121.732</v>
      </c>
      <c r="H43" s="3"/>
    </row>
    <row r="44" spans="1:8" s="10" customFormat="1" ht="11.25" customHeight="1" x14ac:dyDescent="0.2">
      <c r="A44" s="40" t="s">
        <v>65</v>
      </c>
      <c r="B44" s="40"/>
      <c r="C44" s="40"/>
      <c r="D44" s="40"/>
      <c r="E44" s="40"/>
      <c r="F44" s="40"/>
      <c r="G44" s="9">
        <f>SUM(G43)</f>
        <v>121.732</v>
      </c>
      <c r="H44" s="9"/>
    </row>
    <row r="45" spans="1:8" ht="11.25" customHeight="1" x14ac:dyDescent="0.2">
      <c r="A45" s="39" t="s">
        <v>66</v>
      </c>
      <c r="B45" s="39"/>
      <c r="C45" s="39"/>
      <c r="D45" s="39"/>
      <c r="E45" s="39"/>
      <c r="F45" s="39"/>
      <c r="G45" s="39"/>
      <c r="H45" s="39"/>
    </row>
    <row r="46" spans="1:8" ht="11.25" customHeight="1" x14ac:dyDescent="0.2">
      <c r="A46" s="39" t="s">
        <v>67</v>
      </c>
      <c r="B46" s="39"/>
      <c r="C46" s="39"/>
      <c r="D46" s="39"/>
      <c r="E46" s="39"/>
      <c r="F46" s="39"/>
      <c r="G46" s="39"/>
      <c r="H46" s="39"/>
    </row>
    <row r="47" spans="1:8" ht="11.25" customHeight="1" x14ac:dyDescent="0.2">
      <c r="A47" s="39" t="s">
        <v>68</v>
      </c>
      <c r="B47" s="39"/>
      <c r="C47" s="39"/>
      <c r="D47" s="39"/>
      <c r="E47" s="39"/>
      <c r="F47" s="39"/>
      <c r="G47" s="39"/>
      <c r="H47" s="11"/>
    </row>
    <row r="48" spans="1:8" ht="11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11.2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19.809999999999999</v>
      </c>
      <c r="H53" s="3" t="s">
        <v>72</v>
      </c>
    </row>
    <row r="54" spans="1:8" ht="11.2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11.25" customHeight="1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11.25" customHeight="1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86</v>
      </c>
      <c r="B61" s="3">
        <v>0</v>
      </c>
      <c r="C61" s="3" t="s">
        <v>81</v>
      </c>
      <c r="D61" s="3" t="s">
        <v>19</v>
      </c>
      <c r="E61" s="3">
        <v>0</v>
      </c>
      <c r="F61" s="3">
        <v>0</v>
      </c>
      <c r="G61" s="3">
        <v>2.99</v>
      </c>
      <c r="H61" s="3" t="s">
        <v>81</v>
      </c>
    </row>
    <row r="62" spans="1:8" ht="11.25" customHeight="1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11.2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6.29</v>
      </c>
      <c r="H65" s="3" t="s">
        <v>72</v>
      </c>
    </row>
    <row r="66" spans="1:8" ht="11.2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5.69</v>
      </c>
      <c r="H66" s="3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11.25" customHeight="1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11.25" customHeight="1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11.25" customHeight="1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2.99</v>
      </c>
      <c r="H73" s="3" t="s">
        <v>72</v>
      </c>
    </row>
    <row r="74" spans="1:8" ht="11.2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11.98</v>
      </c>
      <c r="H74" s="3" t="s">
        <v>72</v>
      </c>
    </row>
    <row r="75" spans="1:8" ht="11.2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11.2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29.95</v>
      </c>
      <c r="H76" s="3" t="s">
        <v>72</v>
      </c>
    </row>
    <row r="77" spans="1:8" ht="11.25" customHeight="1" x14ac:dyDescent="0.2">
      <c r="A77" s="42" t="s">
        <v>103</v>
      </c>
      <c r="B77" s="43"/>
      <c r="C77" s="43"/>
      <c r="D77" s="43"/>
      <c r="E77" s="43"/>
      <c r="F77" s="43"/>
      <c r="G77" s="7"/>
      <c r="H77" s="8"/>
    </row>
    <row r="78" spans="1:8" ht="11.25" customHeight="1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2.87</v>
      </c>
      <c r="H78" s="3" t="s">
        <v>81</v>
      </c>
    </row>
    <row r="79" spans="1:8" ht="11.25" customHeight="1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11.25" customHeight="1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3.11</v>
      </c>
      <c r="H80" s="3" t="s">
        <v>81</v>
      </c>
    </row>
    <row r="81" spans="1:8" ht="11.25" customHeight="1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42" t="s">
        <v>109</v>
      </c>
      <c r="B83" s="43"/>
      <c r="C83" s="43"/>
      <c r="D83" s="43"/>
      <c r="E83" s="43"/>
      <c r="F83" s="43"/>
      <c r="G83" s="7"/>
      <c r="H83" s="8"/>
    </row>
    <row r="84" spans="1:8" ht="11.2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11.98</v>
      </c>
      <c r="H84" s="3" t="s">
        <v>72</v>
      </c>
    </row>
    <row r="85" spans="1:8" ht="11.2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11.25" customHeight="1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29.95</v>
      </c>
      <c r="H90" s="3" t="s">
        <v>72</v>
      </c>
    </row>
    <row r="91" spans="1:8" ht="11.2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17.37</v>
      </c>
      <c r="H92" s="3" t="s">
        <v>72</v>
      </c>
    </row>
    <row r="93" spans="1:8" ht="11.2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18.57</v>
      </c>
      <c r="H95" s="3" t="s">
        <v>72</v>
      </c>
    </row>
    <row r="96" spans="1:8" ht="11.2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125</v>
      </c>
      <c r="B99" s="3">
        <v>0</v>
      </c>
      <c r="C99" s="3" t="s">
        <v>126</v>
      </c>
      <c r="D99" s="3" t="s">
        <v>47</v>
      </c>
      <c r="E99" s="3">
        <v>0</v>
      </c>
      <c r="F99" s="3">
        <v>0</v>
      </c>
      <c r="G99" s="3">
        <v>3.17</v>
      </c>
      <c r="H99" s="3" t="s">
        <v>126</v>
      </c>
    </row>
    <row r="100" spans="1:8" ht="11.25" customHeight="1" x14ac:dyDescent="0.2">
      <c r="A100" s="3" t="s">
        <v>127</v>
      </c>
      <c r="B100" s="3">
        <v>0</v>
      </c>
      <c r="C100" s="3" t="s">
        <v>126</v>
      </c>
      <c r="D100" s="3" t="s">
        <v>41</v>
      </c>
      <c r="E100" s="3">
        <v>0</v>
      </c>
      <c r="F100" s="3">
        <v>0</v>
      </c>
      <c r="G100" s="3">
        <v>2.82</v>
      </c>
      <c r="H100" s="3" t="s">
        <v>126</v>
      </c>
    </row>
    <row r="101" spans="1:8" ht="11.25" customHeight="1" x14ac:dyDescent="0.2">
      <c r="A101" s="3" t="s">
        <v>128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5.99</v>
      </c>
      <c r="H101" s="3" t="s">
        <v>126</v>
      </c>
    </row>
    <row r="102" spans="1:8" ht="11.25" customHeight="1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59.9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29.95</v>
      </c>
      <c r="H107" s="3"/>
    </row>
    <row r="108" spans="1:8" s="10" customFormat="1" ht="11.25" customHeight="1" x14ac:dyDescent="0.2">
      <c r="A108" s="40" t="s">
        <v>135</v>
      </c>
      <c r="B108" s="40"/>
      <c r="C108" s="40"/>
      <c r="D108" s="40"/>
      <c r="E108" s="40"/>
      <c r="F108" s="40"/>
      <c r="G108" s="9">
        <f>SUM(G48:G107)</f>
        <v>265.38</v>
      </c>
      <c r="H108" s="9"/>
    </row>
    <row r="109" spans="1:8" ht="11.25" customHeight="1" x14ac:dyDescent="0.2">
      <c r="A109" s="39" t="s">
        <v>103</v>
      </c>
      <c r="B109" s="39"/>
      <c r="C109" s="39"/>
      <c r="D109" s="39"/>
      <c r="E109" s="39"/>
      <c r="F109" s="39"/>
      <c r="G109" s="39"/>
      <c r="H109" s="39"/>
    </row>
    <row r="110" spans="1:8" ht="11.25" customHeight="1" x14ac:dyDescent="0.2">
      <c r="A110" s="39" t="s">
        <v>136</v>
      </c>
      <c r="B110" s="39"/>
      <c r="C110" s="39"/>
      <c r="D110" s="39"/>
      <c r="E110" s="39"/>
      <c r="F110" s="39"/>
      <c r="G110" s="39"/>
      <c r="H110" s="39"/>
    </row>
    <row r="111" spans="1:8" ht="11.25" customHeight="1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11.25" customHeight="1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29.95</v>
      </c>
      <c r="H114" s="3" t="s">
        <v>126</v>
      </c>
    </row>
    <row r="115" spans="1:8" ht="11.25" customHeight="1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23.96</v>
      </c>
      <c r="H115" s="3" t="s">
        <v>126</v>
      </c>
    </row>
    <row r="116" spans="1:8" ht="11.25" customHeight="1" x14ac:dyDescent="0.2">
      <c r="A116" s="3" t="s">
        <v>142</v>
      </c>
      <c r="B116" s="3">
        <v>0</v>
      </c>
      <c r="C116" s="3" t="s">
        <v>126</v>
      </c>
      <c r="D116" s="3" t="s">
        <v>41</v>
      </c>
      <c r="E116" s="3">
        <v>0</v>
      </c>
      <c r="F116" s="3">
        <v>0</v>
      </c>
      <c r="G116" s="3">
        <v>2.99</v>
      </c>
      <c r="H116" s="3" t="s">
        <v>126</v>
      </c>
    </row>
    <row r="117" spans="1:8" ht="11.25" customHeight="1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11.25" customHeight="1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5.99</v>
      </c>
      <c r="G119" s="3">
        <v>5.99</v>
      </c>
      <c r="H119" s="3" t="s">
        <v>126</v>
      </c>
    </row>
    <row r="120" spans="1:8" ht="11.25" customHeight="1" x14ac:dyDescent="0.2">
      <c r="A120" s="3" t="s">
        <v>146</v>
      </c>
      <c r="B120" s="3">
        <v>0</v>
      </c>
      <c r="C120" s="3" t="s">
        <v>126</v>
      </c>
      <c r="D120" s="3" t="s">
        <v>71</v>
      </c>
      <c r="E120" s="3">
        <v>0</v>
      </c>
      <c r="F120" s="3">
        <v>0</v>
      </c>
      <c r="G120" s="3">
        <v>20.79</v>
      </c>
      <c r="H120" s="3" t="s">
        <v>126</v>
      </c>
    </row>
    <row r="121" spans="1:8" ht="11.25" customHeight="1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3.11</v>
      </c>
      <c r="H121" s="3" t="s">
        <v>81</v>
      </c>
    </row>
    <row r="122" spans="1:8" ht="11.25" customHeight="1" x14ac:dyDescent="0.2">
      <c r="A122" s="3" t="s">
        <v>148</v>
      </c>
      <c r="B122" s="3">
        <v>2</v>
      </c>
      <c r="C122" s="3" t="s">
        <v>131</v>
      </c>
      <c r="D122" s="3" t="s">
        <v>41</v>
      </c>
      <c r="E122" s="3">
        <v>0</v>
      </c>
      <c r="F122" s="3">
        <v>0</v>
      </c>
      <c r="G122" s="3">
        <v>2.87</v>
      </c>
      <c r="H122" s="3"/>
    </row>
    <row r="123" spans="1:8" ht="11.25" customHeight="1" x14ac:dyDescent="0.2">
      <c r="A123" s="3" t="s">
        <v>149</v>
      </c>
      <c r="B123" s="3">
        <v>0</v>
      </c>
      <c r="C123" s="3" t="s">
        <v>126</v>
      </c>
      <c r="D123" s="3" t="s">
        <v>19</v>
      </c>
      <c r="E123" s="3">
        <v>0</v>
      </c>
      <c r="F123" s="3">
        <v>0</v>
      </c>
      <c r="G123" s="3">
        <v>12.6</v>
      </c>
      <c r="H123" s="3" t="s">
        <v>126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40.07</v>
      </c>
      <c r="G124" s="3">
        <v>40.07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5.99</v>
      </c>
      <c r="G125" s="3">
        <v>5.99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96.35</v>
      </c>
      <c r="G126" s="3">
        <v>96.35</v>
      </c>
      <c r="H126" s="3"/>
    </row>
    <row r="127" spans="1:8" ht="11.25" customHeight="1" x14ac:dyDescent="0.2">
      <c r="A127" s="3" t="s">
        <v>153</v>
      </c>
      <c r="B127" s="3">
        <v>0</v>
      </c>
      <c r="C127" s="3" t="s">
        <v>126</v>
      </c>
      <c r="D127" s="3" t="s">
        <v>19</v>
      </c>
      <c r="E127" s="3">
        <v>0</v>
      </c>
      <c r="F127" s="3">
        <v>0</v>
      </c>
      <c r="G127" s="3">
        <v>3.17</v>
      </c>
      <c r="H127" s="3" t="s">
        <v>126</v>
      </c>
    </row>
    <row r="128" spans="1:8" ht="11.25" customHeight="1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41.93</v>
      </c>
      <c r="H130" s="3" t="s">
        <v>126</v>
      </c>
    </row>
    <row r="131" spans="1:8" ht="11.25" customHeight="1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29.35</v>
      </c>
      <c r="H131" s="3" t="s">
        <v>126</v>
      </c>
    </row>
    <row r="132" spans="1:8" ht="11.25" customHeight="1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35.94</v>
      </c>
      <c r="H132" s="3" t="s">
        <v>126</v>
      </c>
    </row>
    <row r="133" spans="1:8" ht="11.25" customHeight="1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30.55</v>
      </c>
      <c r="H133" s="3" t="s">
        <v>126</v>
      </c>
    </row>
    <row r="134" spans="1:8" ht="11.25" customHeight="1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17.97</v>
      </c>
      <c r="H134" s="3" t="s">
        <v>126</v>
      </c>
    </row>
    <row r="135" spans="1:8" ht="11.25" customHeight="1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5.39</v>
      </c>
      <c r="H135" s="3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0</v>
      </c>
      <c r="C137" s="3" t="s">
        <v>131</v>
      </c>
      <c r="D137" s="3" t="s">
        <v>47</v>
      </c>
      <c r="E137" s="3">
        <v>0</v>
      </c>
      <c r="F137" s="3">
        <v>0</v>
      </c>
      <c r="G137" s="3">
        <v>6.59</v>
      </c>
      <c r="H137" s="3"/>
    </row>
    <row r="138" spans="1:8" ht="11.25" customHeight="1" x14ac:dyDescent="0.2">
      <c r="A138" s="3" t="s">
        <v>164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11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17.97</v>
      </c>
      <c r="H152" s="3"/>
    </row>
    <row r="153" spans="1:8" ht="11.25" customHeight="1" x14ac:dyDescent="0.2">
      <c r="A153" s="3" t="s">
        <v>179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2.99</v>
      </c>
      <c r="H153" s="3"/>
    </row>
    <row r="154" spans="1:8" s="10" customFormat="1" ht="11.25" customHeight="1" x14ac:dyDescent="0.2">
      <c r="A154" s="40" t="s">
        <v>180</v>
      </c>
      <c r="B154" s="40"/>
      <c r="C154" s="40"/>
      <c r="D154" s="40"/>
      <c r="E154" s="40"/>
      <c r="F154" s="40"/>
      <c r="G154" s="9">
        <f>SUM(G111:G153)</f>
        <v>447.52</v>
      </c>
      <c r="H154" s="9"/>
    </row>
    <row r="155" spans="1:8" ht="11.25" customHeight="1" x14ac:dyDescent="0.2">
      <c r="A155" s="39" t="s">
        <v>181</v>
      </c>
      <c r="B155" s="39"/>
      <c r="C155" s="39"/>
      <c r="D155" s="39"/>
      <c r="E155" s="39"/>
      <c r="F155" s="39"/>
      <c r="G155" s="39"/>
      <c r="H155" s="39"/>
    </row>
    <row r="156" spans="1:8" ht="11.25" customHeight="1" x14ac:dyDescent="0.2">
      <c r="A156" s="3" t="s">
        <v>182</v>
      </c>
      <c r="B156" s="3">
        <v>365</v>
      </c>
      <c r="C156" s="3" t="s">
        <v>10</v>
      </c>
      <c r="D156" s="3" t="s">
        <v>19</v>
      </c>
      <c r="E156" s="3">
        <v>4</v>
      </c>
      <c r="F156" s="3">
        <v>282.63</v>
      </c>
      <c r="G156" s="3">
        <v>412.64</v>
      </c>
      <c r="H156" s="3" t="s">
        <v>156</v>
      </c>
    </row>
    <row r="157" spans="1:8" s="10" customFormat="1" ht="11.25" customHeight="1" x14ac:dyDescent="0.2">
      <c r="A157" s="40" t="s">
        <v>183</v>
      </c>
      <c r="B157" s="40"/>
      <c r="C157" s="40"/>
      <c r="D157" s="40"/>
      <c r="E157" s="40"/>
      <c r="F157" s="40"/>
      <c r="G157" s="9">
        <f>SUM(G156)</f>
        <v>412.64</v>
      </c>
      <c r="H157" s="9"/>
    </row>
    <row r="158" spans="1:8" ht="11.25" customHeight="1" x14ac:dyDescent="0.2">
      <c r="A158" s="39" t="s">
        <v>184</v>
      </c>
      <c r="B158" s="39"/>
      <c r="C158" s="39"/>
      <c r="D158" s="39"/>
      <c r="E158" s="39"/>
      <c r="F158" s="39"/>
      <c r="G158" s="39"/>
      <c r="H158" s="39"/>
    </row>
    <row r="159" spans="1:8" ht="11.25" customHeight="1" x14ac:dyDescent="0.2">
      <c r="A159" s="3" t="s">
        <v>185</v>
      </c>
      <c r="B159" s="3">
        <v>2</v>
      </c>
      <c r="C159" s="3" t="s">
        <v>131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</v>
      </c>
      <c r="C160" s="3" t="s">
        <v>10</v>
      </c>
      <c r="D160" s="3" t="s">
        <v>71</v>
      </c>
      <c r="E160" s="3">
        <v>1000</v>
      </c>
      <c r="F160" s="3">
        <v>313.86</v>
      </c>
      <c r="G160" s="3">
        <v>313.86</v>
      </c>
      <c r="H160" s="3" t="s">
        <v>23</v>
      </c>
    </row>
    <row r="161" spans="1:8" ht="11.25" customHeight="1" x14ac:dyDescent="0.2">
      <c r="A161" s="3" t="s">
        <v>187</v>
      </c>
      <c r="B161" s="3">
        <v>5</v>
      </c>
      <c r="C161" s="3" t="s">
        <v>40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40" t="s">
        <v>188</v>
      </c>
      <c r="B162" s="40"/>
      <c r="C162" s="40"/>
      <c r="D162" s="40"/>
      <c r="E162" s="40"/>
      <c r="F162" s="40"/>
      <c r="G162" s="9">
        <f>SUM(G159:G161)</f>
        <v>313.86</v>
      </c>
      <c r="H162" s="9"/>
    </row>
    <row r="163" spans="1:8" ht="11.25" customHeight="1" x14ac:dyDescent="0.2">
      <c r="A163" s="39" t="s">
        <v>189</v>
      </c>
      <c r="B163" s="39"/>
      <c r="C163" s="39"/>
      <c r="D163" s="39"/>
      <c r="E163" s="39"/>
      <c r="F163" s="39"/>
      <c r="G163" s="39"/>
      <c r="H163" s="39"/>
    </row>
    <row r="164" spans="1:8" ht="11.25" customHeight="1" x14ac:dyDescent="0.2">
      <c r="A164" s="3" t="s">
        <v>190</v>
      </c>
      <c r="B164" s="3">
        <v>2</v>
      </c>
      <c r="C164" s="3" t="s">
        <v>131</v>
      </c>
      <c r="D164" s="3" t="s">
        <v>71</v>
      </c>
      <c r="E164" s="3">
        <v>0</v>
      </c>
      <c r="F164" s="3">
        <v>0</v>
      </c>
      <c r="G164" s="3">
        <v>7.87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40" t="s">
        <v>193</v>
      </c>
      <c r="B167" s="40"/>
      <c r="C167" s="40"/>
      <c r="D167" s="40"/>
      <c r="E167" s="40"/>
      <c r="F167" s="40"/>
      <c r="G167" s="9">
        <f>SUM(G164:G166)</f>
        <v>7.87</v>
      </c>
      <c r="H167" s="9"/>
    </row>
    <row r="168" spans="1:8" ht="11.25" customHeight="1" x14ac:dyDescent="0.2">
      <c r="A168" s="39" t="s">
        <v>194</v>
      </c>
      <c r="B168" s="39"/>
      <c r="C168" s="39"/>
      <c r="D168" s="39"/>
      <c r="E168" s="39"/>
      <c r="F168" s="39"/>
      <c r="G168" s="39"/>
      <c r="H168" s="39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40" t="s">
        <v>197</v>
      </c>
      <c r="B171" s="40"/>
      <c r="C171" s="40"/>
      <c r="D171" s="40"/>
      <c r="E171" s="40"/>
      <c r="F171" s="40"/>
      <c r="G171" s="9">
        <f>SUM(G169:G170)</f>
        <v>0</v>
      </c>
      <c r="H171" s="9"/>
    </row>
    <row r="172" spans="1:8" ht="11.25" customHeight="1" x14ac:dyDescent="0.2">
      <c r="A172" s="39" t="s">
        <v>198</v>
      </c>
      <c r="B172" s="39"/>
      <c r="C172" s="39"/>
      <c r="D172" s="39"/>
      <c r="E172" s="39"/>
      <c r="F172" s="39"/>
      <c r="G172" s="39"/>
      <c r="H172" s="39"/>
    </row>
    <row r="173" spans="1:8" ht="11.25" customHeight="1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3.11</v>
      </c>
      <c r="H173" s="3" t="s">
        <v>200</v>
      </c>
    </row>
    <row r="174" spans="1:8" ht="11.25" customHeight="1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2.87</v>
      </c>
      <c r="H174" s="3" t="s">
        <v>200</v>
      </c>
    </row>
    <row r="175" spans="1:8" s="10" customFormat="1" ht="11.25" customHeight="1" x14ac:dyDescent="0.2">
      <c r="A175" s="40" t="s">
        <v>202</v>
      </c>
      <c r="B175" s="40"/>
      <c r="C175" s="40"/>
      <c r="D175" s="40"/>
      <c r="E175" s="40"/>
      <c r="F175" s="40"/>
      <c r="G175" s="9">
        <f>SUM(G173:G174)</f>
        <v>5.98</v>
      </c>
      <c r="H175" s="9"/>
    </row>
    <row r="176" spans="1:8" ht="11.25" customHeight="1" x14ac:dyDescent="0.2">
      <c r="A176" s="39" t="s">
        <v>203</v>
      </c>
      <c r="B176" s="39"/>
      <c r="C176" s="39"/>
      <c r="D176" s="39"/>
      <c r="E176" s="39"/>
      <c r="F176" s="39"/>
      <c r="G176" s="39"/>
      <c r="H176" s="39"/>
    </row>
    <row r="177" spans="1:8" ht="11.25" customHeight="1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66.674999999999997</v>
      </c>
      <c r="H177" s="3"/>
    </row>
    <row r="178" spans="1:8" s="10" customFormat="1" ht="11.25" customHeight="1" x14ac:dyDescent="0.2">
      <c r="A178" s="40" t="s">
        <v>205</v>
      </c>
      <c r="B178" s="40"/>
      <c r="C178" s="40"/>
      <c r="D178" s="40"/>
      <c r="E178" s="40"/>
      <c r="F178" s="40"/>
      <c r="G178" s="9">
        <f>SUM(G177)</f>
        <v>66.674999999999997</v>
      </c>
      <c r="H178" s="9"/>
    </row>
    <row r="179" spans="1:8" ht="11.25" customHeight="1" x14ac:dyDescent="0.2">
      <c r="A179" s="39" t="s">
        <v>206</v>
      </c>
      <c r="B179" s="39"/>
      <c r="C179" s="39"/>
      <c r="D179" s="39"/>
      <c r="E179" s="39"/>
      <c r="F179" s="39"/>
      <c r="G179" s="39"/>
      <c r="H179" s="39"/>
    </row>
    <row r="180" spans="1:8" ht="11.25" customHeight="1" x14ac:dyDescent="0.2">
      <c r="A180" s="39" t="s">
        <v>53</v>
      </c>
      <c r="B180" s="39"/>
      <c r="C180" s="39"/>
      <c r="D180" s="39"/>
      <c r="E180" s="39"/>
      <c r="F180" s="39"/>
      <c r="G180" s="39"/>
      <c r="H180" s="39"/>
    </row>
    <row r="181" spans="1:8" ht="11.25" customHeight="1" x14ac:dyDescent="0.2">
      <c r="A181" s="3" t="s">
        <v>207</v>
      </c>
      <c r="B181" s="3">
        <v>0</v>
      </c>
      <c r="C181" s="3" t="s">
        <v>131</v>
      </c>
      <c r="D181" s="3" t="s">
        <v>47</v>
      </c>
      <c r="E181" s="3">
        <v>0</v>
      </c>
      <c r="F181" s="3">
        <v>0</v>
      </c>
      <c r="G181" s="3">
        <v>33.770000000000003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40" t="s">
        <v>210</v>
      </c>
      <c r="B184" s="40"/>
      <c r="C184" s="40"/>
      <c r="D184" s="40"/>
      <c r="E184" s="40"/>
      <c r="F184" s="40"/>
      <c r="G184" s="9">
        <f>SUM(G181:G183)</f>
        <v>33.770000000000003</v>
      </c>
      <c r="H184" s="9"/>
    </row>
    <row r="185" spans="1:8" ht="11.25" customHeight="1" x14ac:dyDescent="0.2">
      <c r="A185" s="39" t="s">
        <v>211</v>
      </c>
      <c r="B185" s="39"/>
      <c r="C185" s="39"/>
      <c r="D185" s="39"/>
      <c r="E185" s="39"/>
      <c r="F185" s="39"/>
      <c r="G185" s="39"/>
      <c r="H185" s="39"/>
    </row>
    <row r="186" spans="1:8" ht="11.25" customHeight="1" x14ac:dyDescent="0.2">
      <c r="A186" s="3" t="s">
        <v>212</v>
      </c>
      <c r="B186" s="3">
        <v>1</v>
      </c>
      <c r="C186" s="3" t="s">
        <v>10</v>
      </c>
      <c r="D186" s="3" t="s">
        <v>71</v>
      </c>
      <c r="E186" s="3">
        <v>0</v>
      </c>
      <c r="F186" s="3">
        <v>0</v>
      </c>
      <c r="G186" s="3">
        <v>10.83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131</v>
      </c>
      <c r="D187" s="3" t="s">
        <v>71</v>
      </c>
      <c r="E187" s="3">
        <v>0</v>
      </c>
      <c r="F187" s="3">
        <v>0</v>
      </c>
      <c r="G187" s="3">
        <v>5.44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40" t="s">
        <v>220</v>
      </c>
      <c r="B193" s="40"/>
      <c r="C193" s="40"/>
      <c r="D193" s="40"/>
      <c r="E193" s="40"/>
      <c r="F193" s="40"/>
      <c r="G193" s="9">
        <f>SUM(G186:G192)</f>
        <v>16.27</v>
      </c>
      <c r="H193" s="9"/>
    </row>
    <row r="194" spans="1:8" ht="11.25" customHeight="1" x14ac:dyDescent="0.2">
      <c r="A194" s="39" t="s">
        <v>221</v>
      </c>
      <c r="B194" s="39"/>
      <c r="C194" s="39"/>
      <c r="D194" s="39"/>
      <c r="E194" s="39"/>
      <c r="F194" s="39"/>
      <c r="G194" s="39"/>
      <c r="H194" s="39"/>
    </row>
    <row r="195" spans="1:8" ht="11.25" customHeight="1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46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235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s="10" customFormat="1" ht="11.25" customHeight="1" x14ac:dyDescent="0.2">
      <c r="A205" s="40" t="s">
        <v>237</v>
      </c>
      <c r="B205" s="40"/>
      <c r="C205" s="40"/>
      <c r="D205" s="40"/>
      <c r="E205" s="40"/>
      <c r="F205" s="40"/>
      <c r="G205" s="9">
        <f>SUM(G195:G204)</f>
        <v>0</v>
      </c>
      <c r="H205" s="9"/>
    </row>
    <row r="206" spans="1:8" s="10" customFormat="1" ht="11.25" customHeight="1" x14ac:dyDescent="0.2">
      <c r="A206" s="40" t="s">
        <v>238</v>
      </c>
      <c r="B206" s="40"/>
      <c r="C206" s="40"/>
      <c r="D206" s="40"/>
      <c r="E206" s="40"/>
      <c r="F206" s="40"/>
      <c r="G206" s="9">
        <f>G36+G41+G44+G108+G154+G157+G162+G167+G171+G175+G178+G184+G193+G205</f>
        <v>2963.32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7"/>
  <sheetViews>
    <sheetView topLeftCell="A188" workbookViewId="0">
      <selection activeCell="I213" sqref="I213"/>
    </sheetView>
  </sheetViews>
  <sheetFormatPr defaultRowHeight="11.25" x14ac:dyDescent="0.2"/>
  <cols>
    <col min="1" max="1" width="55" style="4" customWidth="1"/>
    <col min="2" max="16384" width="9.140625" style="4"/>
  </cols>
  <sheetData>
    <row r="1" spans="1:9" s="1" customFormat="1" ht="17.25" customHeight="1" x14ac:dyDescent="0.25">
      <c r="A1" s="5" t="s">
        <v>240</v>
      </c>
    </row>
    <row r="2" spans="1:9" s="1" customFormat="1" ht="16.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</row>
    <row r="3" spans="1:9" ht="11.25" customHeight="1" x14ac:dyDescent="0.2">
      <c r="A3" s="13" t="s">
        <v>1</v>
      </c>
      <c r="B3" s="6" t="s">
        <v>2</v>
      </c>
      <c r="C3" s="8"/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</row>
    <row r="4" spans="1:9" ht="11.25" customHeight="1" x14ac:dyDescent="0.2">
      <c r="A4" s="19" t="s">
        <v>245</v>
      </c>
      <c r="B4" s="13"/>
      <c r="C4" s="13"/>
      <c r="D4" s="13"/>
      <c r="E4" s="13"/>
      <c r="F4" s="13"/>
      <c r="G4" s="13">
        <v>314.33</v>
      </c>
      <c r="H4" s="13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291.2</v>
      </c>
      <c r="F6" s="3">
        <v>2.42</v>
      </c>
      <c r="G6" s="3">
        <f t="shared" ref="G6:G25" si="0">ROUND(E6*F6*B6/1000,2)</f>
        <v>211.41</v>
      </c>
      <c r="H6" s="3" t="s">
        <v>12</v>
      </c>
      <c r="I6" s="4">
        <f t="shared" ref="I6" si="1"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291.2</v>
      </c>
      <c r="F7" s="3">
        <v>3.42</v>
      </c>
      <c r="G7" s="3">
        <f t="shared" si="0"/>
        <v>11.95</v>
      </c>
      <c r="H7" s="3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2911.8</v>
      </c>
      <c r="F8" s="3">
        <v>2.11</v>
      </c>
      <c r="G8" s="3">
        <f t="shared" si="0"/>
        <v>319.48</v>
      </c>
      <c r="H8" s="3" t="s">
        <v>15</v>
      </c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2911.8</v>
      </c>
      <c r="F9" s="3">
        <v>2.69</v>
      </c>
      <c r="G9" s="3">
        <f t="shared" si="0"/>
        <v>93.99</v>
      </c>
      <c r="H9" s="3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88</v>
      </c>
      <c r="F10" s="3">
        <v>3.26</v>
      </c>
      <c r="G10" s="3">
        <f t="shared" si="0"/>
        <v>86.06</v>
      </c>
      <c r="H10" s="3" t="s">
        <v>15</v>
      </c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88</v>
      </c>
      <c r="F11" s="3">
        <v>20.81</v>
      </c>
      <c r="G11" s="3">
        <f t="shared" si="0"/>
        <v>95.23</v>
      </c>
      <c r="H11" s="3" t="s">
        <v>12</v>
      </c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10.5</v>
      </c>
      <c r="F12" s="3">
        <v>3.45</v>
      </c>
      <c r="G12" s="3">
        <f t="shared" si="0"/>
        <v>10.87</v>
      </c>
      <c r="H12" s="3" t="s">
        <v>12</v>
      </c>
    </row>
    <row r="13" spans="1:9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77</v>
      </c>
      <c r="F14" s="3">
        <v>8.8699999999999992</v>
      </c>
      <c r="G14" s="3">
        <f t="shared" si="0"/>
        <v>0.68</v>
      </c>
      <c r="H14" s="3" t="s">
        <v>25</v>
      </c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13964</v>
      </c>
      <c r="F15" s="3">
        <v>2.95</v>
      </c>
      <c r="G15" s="3">
        <f t="shared" si="0"/>
        <v>41.19</v>
      </c>
      <c r="H15" s="3" t="s">
        <v>25</v>
      </c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356</v>
      </c>
      <c r="F16" s="3">
        <v>1.83</v>
      </c>
      <c r="G16" s="3">
        <f t="shared" si="0"/>
        <v>0.65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212</v>
      </c>
      <c r="F17" s="3">
        <v>4.3</v>
      </c>
      <c r="G17" s="3">
        <f t="shared" si="0"/>
        <v>0.91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5.5</v>
      </c>
      <c r="F18" s="3">
        <v>4.28</v>
      </c>
      <c r="G18" s="3">
        <f t="shared" si="0"/>
        <v>0.05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3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88</v>
      </c>
      <c r="F21" s="3">
        <v>2.64</v>
      </c>
      <c r="G21" s="3">
        <f t="shared" si="0"/>
        <v>0.23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44</v>
      </c>
      <c r="F22" s="3">
        <v>5.32</v>
      </c>
      <c r="G22" s="3">
        <f t="shared" si="0"/>
        <v>0.23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88</v>
      </c>
      <c r="F23" s="3">
        <v>2.64</v>
      </c>
      <c r="G23" s="3">
        <f t="shared" si="0"/>
        <v>0.23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14.5</v>
      </c>
      <c r="F24" s="3">
        <v>2.14</v>
      </c>
      <c r="G24" s="3">
        <f t="shared" si="0"/>
        <v>0.03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941</v>
      </c>
      <c r="F25" s="3">
        <v>2.15</v>
      </c>
      <c r="G25" s="3">
        <f t="shared" si="0"/>
        <v>4.05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/>
      <c r="G30" s="3">
        <v>14.33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853</v>
      </c>
      <c r="F32" s="3">
        <v>1.77</v>
      </c>
      <c r="G32" s="3">
        <f t="shared" ref="G32:G33" si="2">ROUND(E32*F32*B32/1000,2)</f>
        <v>1.51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853</v>
      </c>
      <c r="F33" s="3">
        <v>1.77</v>
      </c>
      <c r="G33" s="3">
        <f t="shared" si="2"/>
        <v>1.51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26</v>
      </c>
      <c r="F35" s="3">
        <v>8.7899999999999991</v>
      </c>
      <c r="G35" s="3">
        <f t="shared" ref="G35:G36" si="3">ROUND(E35*F35*B35/1000,2)</f>
        <v>83.65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52</v>
      </c>
      <c r="F36" s="3">
        <v>3.81</v>
      </c>
      <c r="G36" s="3">
        <f t="shared" si="3"/>
        <v>4.75</v>
      </c>
      <c r="H36" s="3"/>
    </row>
    <row r="37" spans="1:8" s="10" customFormat="1" ht="11.25" customHeight="1" x14ac:dyDescent="0.2">
      <c r="A37" s="21" t="s">
        <v>56</v>
      </c>
      <c r="B37" s="22"/>
      <c r="C37" s="22"/>
      <c r="D37" s="22"/>
      <c r="E37" s="22"/>
      <c r="F37" s="23"/>
      <c r="G37" s="12">
        <f>SUM(G6:G36)</f>
        <v>982.99</v>
      </c>
      <c r="H37" s="12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2</v>
      </c>
      <c r="F39" s="3">
        <v>191.35</v>
      </c>
      <c r="G39" s="3">
        <f t="shared" ref="G39" si="4">ROUND(E39*F39*B39/1000,2)</f>
        <v>140.07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1.9</v>
      </c>
      <c r="F41" s="3">
        <v>325.69</v>
      </c>
      <c r="G41" s="3">
        <f t="shared" ref="G41" si="5">ROUND(E41*F41*B41/1000,2)</f>
        <v>226.48</v>
      </c>
      <c r="H41" s="3"/>
    </row>
    <row r="42" spans="1:8" s="10" customFormat="1" ht="11.25" customHeight="1" x14ac:dyDescent="0.2">
      <c r="A42" s="21" t="s">
        <v>62</v>
      </c>
      <c r="B42" s="22"/>
      <c r="C42" s="22"/>
      <c r="D42" s="22"/>
      <c r="E42" s="22"/>
      <c r="F42" s="23"/>
      <c r="G42" s="12">
        <f>SUM(G39:G41)</f>
        <v>366.54999999999995</v>
      </c>
      <c r="H42" s="12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0.59499999999999997</v>
      </c>
      <c r="F44" s="3">
        <v>537.61</v>
      </c>
      <c r="G44" s="3">
        <f t="shared" ref="G44" si="6">ROUND(E44*F44*B44/1000,2)</f>
        <v>117.08</v>
      </c>
      <c r="H44" s="3"/>
    </row>
    <row r="45" spans="1:8" s="10" customFormat="1" ht="11.25" customHeight="1" x14ac:dyDescent="0.2">
      <c r="A45" s="21" t="s">
        <v>65</v>
      </c>
      <c r="B45" s="22"/>
      <c r="C45" s="22"/>
      <c r="D45" s="22"/>
      <c r="E45" s="22"/>
      <c r="F45" s="23"/>
      <c r="G45" s="12">
        <f>SUM(G44)</f>
        <v>117.08</v>
      </c>
      <c r="H45" s="12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2.99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6.29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5.69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2.99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11.98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29.95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2.87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3.11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11.98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29.95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17.37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18.57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3.17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2.82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5.99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0</v>
      </c>
      <c r="H108" s="3"/>
    </row>
    <row r="109" spans="1:8" s="10" customFormat="1" ht="11.25" customHeight="1" x14ac:dyDescent="0.2">
      <c r="A109" s="21" t="s">
        <v>135</v>
      </c>
      <c r="B109" s="22"/>
      <c r="C109" s="22"/>
      <c r="D109" s="22"/>
      <c r="E109" s="22"/>
      <c r="F109" s="23"/>
      <c r="G109" s="12">
        <f>SUM(G49:G108)</f>
        <v>155.72</v>
      </c>
      <c r="H109" s="12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19.95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15.72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2.99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31.06</v>
      </c>
      <c r="G120" s="24">
        <v>31.06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20.79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3.11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2.87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12.6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55.28</v>
      </c>
      <c r="G125" s="24">
        <v>55.28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6.97</v>
      </c>
      <c r="G126" s="24">
        <v>6.97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20.75</v>
      </c>
      <c r="G127" s="24">
        <v>20.75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3.17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11.93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19.350000000000001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15.94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10.55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17.97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5.39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6.59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24">
        <v>9.52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17.97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2.99</v>
      </c>
      <c r="H154" s="3"/>
    </row>
    <row r="155" spans="1:8" s="10" customFormat="1" ht="11.25" customHeight="1" x14ac:dyDescent="0.2">
      <c r="A155" s="21" t="s">
        <v>180</v>
      </c>
      <c r="B155" s="22"/>
      <c r="C155" s="22"/>
      <c r="D155" s="22"/>
      <c r="E155" s="22"/>
      <c r="F155" s="23"/>
      <c r="G155" s="12">
        <f>SUM(G112:G154)</f>
        <v>313.45999999999992</v>
      </c>
      <c r="H155" s="12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4</v>
      </c>
      <c r="F157" s="3">
        <v>375.3</v>
      </c>
      <c r="G157" s="24">
        <f t="shared" ref="G157" si="7">ROUND(E157*F157*B157/1000,2)</f>
        <v>549.44000000000005</v>
      </c>
      <c r="H157" s="3" t="s">
        <v>156</v>
      </c>
    </row>
    <row r="158" spans="1:8" s="10" customFormat="1" ht="11.25" customHeight="1" x14ac:dyDescent="0.2">
      <c r="A158" s="21" t="s">
        <v>183</v>
      </c>
      <c r="B158" s="22"/>
      <c r="C158" s="22"/>
      <c r="D158" s="22"/>
      <c r="E158" s="22"/>
      <c r="F158" s="23"/>
      <c r="G158" s="12">
        <f>SUM(G157)</f>
        <v>549.44000000000005</v>
      </c>
      <c r="H158" s="12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</v>
      </c>
      <c r="C161" s="3" t="s">
        <v>10</v>
      </c>
      <c r="D161" s="3" t="s">
        <v>71</v>
      </c>
      <c r="E161" s="3">
        <v>1000</v>
      </c>
      <c r="F161" s="3">
        <v>287.01</v>
      </c>
      <c r="G161" s="24">
        <v>287.01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21" t="s">
        <v>188</v>
      </c>
      <c r="B163" s="22"/>
      <c r="C163" s="22"/>
      <c r="D163" s="22"/>
      <c r="E163" s="22"/>
      <c r="F163" s="23"/>
      <c r="G163" s="12">
        <f>SUM(G160:G162)</f>
        <v>287.01</v>
      </c>
      <c r="H163" s="12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24">
        <v>14.08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21" t="s">
        <v>193</v>
      </c>
      <c r="B168" s="22"/>
      <c r="C168" s="22"/>
      <c r="D168" s="22"/>
      <c r="E168" s="22"/>
      <c r="F168" s="23"/>
      <c r="G168" s="12">
        <f>SUM(G165:G167)</f>
        <v>14.08</v>
      </c>
      <c r="H168" s="12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21" t="s">
        <v>197</v>
      </c>
      <c r="B172" s="22"/>
      <c r="C172" s="22"/>
      <c r="D172" s="22"/>
      <c r="E172" s="22"/>
      <c r="F172" s="23"/>
      <c r="G172" s="12">
        <f>SUM(G170:G171)</f>
        <v>0</v>
      </c>
      <c r="H172" s="12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24">
        <v>35.58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28.14</v>
      </c>
      <c r="H175" s="3" t="s">
        <v>200</v>
      </c>
    </row>
    <row r="176" spans="1:8" s="10" customFormat="1" ht="11.25" customHeight="1" x14ac:dyDescent="0.2">
      <c r="A176" s="21" t="s">
        <v>202</v>
      </c>
      <c r="B176" s="22"/>
      <c r="C176" s="22"/>
      <c r="D176" s="22"/>
      <c r="E176" s="22"/>
      <c r="F176" s="23"/>
      <c r="G176" s="12">
        <f>SUM(G174:G175)</f>
        <v>63.72</v>
      </c>
      <c r="H176" s="12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24">
        <v>253.24</v>
      </c>
      <c r="H178" s="3"/>
    </row>
    <row r="179" spans="1:8" s="10" customFormat="1" ht="11.25" customHeight="1" x14ac:dyDescent="0.2">
      <c r="A179" s="21" t="s">
        <v>205</v>
      </c>
      <c r="B179" s="22"/>
      <c r="C179" s="22"/>
      <c r="D179" s="22"/>
      <c r="E179" s="22"/>
      <c r="F179" s="23"/>
      <c r="G179" s="12">
        <f>SUM(G178)</f>
        <v>253.24</v>
      </c>
      <c r="H179" s="12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24">
        <v>22.78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21" t="s">
        <v>210</v>
      </c>
      <c r="B185" s="22"/>
      <c r="C185" s="22"/>
      <c r="D185" s="22"/>
      <c r="E185" s="22"/>
      <c r="F185" s="23"/>
      <c r="G185" s="12">
        <f>SUM(G182:G184)</f>
        <v>22.78</v>
      </c>
      <c r="H185" s="12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24">
        <v>11.48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24">
        <v>5.77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21" t="s">
        <v>220</v>
      </c>
      <c r="B194" s="22"/>
      <c r="C194" s="22"/>
      <c r="D194" s="22"/>
      <c r="E194" s="22"/>
      <c r="F194" s="23"/>
      <c r="G194" s="12">
        <f>SUM(G187:G193)</f>
        <v>17.25</v>
      </c>
      <c r="H194" s="12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21" t="s">
        <v>237</v>
      </c>
      <c r="B206" s="22"/>
      <c r="C206" s="22"/>
      <c r="D206" s="22"/>
      <c r="E206" s="22"/>
      <c r="F206" s="23"/>
      <c r="G206" s="12">
        <f>SUM(G196:G205)</f>
        <v>0</v>
      </c>
      <c r="H206" s="12"/>
    </row>
    <row r="207" spans="1:8" s="10" customFormat="1" ht="11.25" customHeight="1" x14ac:dyDescent="0.2">
      <c r="A207" s="21" t="s">
        <v>238</v>
      </c>
      <c r="B207" s="22"/>
      <c r="C207" s="22"/>
      <c r="D207" s="22"/>
      <c r="E207" s="22"/>
      <c r="F207" s="23"/>
      <c r="G207" s="12">
        <f>G37+G42+G45+G109+G155+G158+G163+G168+G172+G176+G179+G185+G194+G206+G4</f>
        <v>3457.65</v>
      </c>
      <c r="H207" s="12"/>
    </row>
    <row r="209" spans="1:8" x14ac:dyDescent="0.2">
      <c r="E209" s="4" t="s">
        <v>241</v>
      </c>
      <c r="F209" s="4">
        <f>(25.51*6+26.53*6)/12</f>
        <v>26.02</v>
      </c>
      <c r="G209" s="14">
        <f>G207*1000/F210/12</f>
        <v>28.621982715804112</v>
      </c>
      <c r="H209" s="15">
        <f>F209/G209</f>
        <v>0.90909145807123337</v>
      </c>
    </row>
    <row r="210" spans="1:8" x14ac:dyDescent="0.2">
      <c r="E210" s="4" t="s">
        <v>242</v>
      </c>
      <c r="F210" s="16">
        <v>10067</v>
      </c>
      <c r="G210" s="17">
        <f>F210*F209*12/1000</f>
        <v>3143.32008</v>
      </c>
    </row>
    <row r="211" spans="1:8" x14ac:dyDescent="0.2">
      <c r="G211" s="14"/>
    </row>
    <row r="212" spans="1:8" x14ac:dyDescent="0.2">
      <c r="F212" s="4" t="s">
        <v>243</v>
      </c>
      <c r="G212" s="14">
        <f>G210-G207</f>
        <v>-314.32992000000013</v>
      </c>
      <c r="H212" s="18">
        <f>G214-G207</f>
        <v>-628.66192799999999</v>
      </c>
    </row>
    <row r="213" spans="1:8" x14ac:dyDescent="0.2">
      <c r="G213" s="14"/>
    </row>
    <row r="214" spans="1:8" x14ac:dyDescent="0.2">
      <c r="G214" s="14">
        <f>G210*0.9</f>
        <v>2828.9880720000001</v>
      </c>
    </row>
    <row r="215" spans="1:8" x14ac:dyDescent="0.2">
      <c r="F215" s="4" t="s">
        <v>244</v>
      </c>
      <c r="G215" s="17">
        <f>G210*0.1</f>
        <v>314.33200800000003</v>
      </c>
    </row>
    <row r="216" spans="1:8" x14ac:dyDescent="0.2">
      <c r="G216" s="14">
        <f>SUM(G214:G215)</f>
        <v>3143.32008</v>
      </c>
    </row>
    <row r="217" spans="1:8" x14ac:dyDescent="0.2">
      <c r="A217" s="27" t="s">
        <v>246</v>
      </c>
      <c r="B217" s="27"/>
      <c r="C217" s="27"/>
      <c r="D217" s="27"/>
      <c r="E217" s="27"/>
      <c r="F217" s="27"/>
      <c r="G217" s="27" t="s">
        <v>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tabSelected="1" topLeftCell="A55" workbookViewId="0">
      <selection activeCell="A67" sqref="A67"/>
    </sheetView>
  </sheetViews>
  <sheetFormatPr defaultRowHeight="11.25" customHeight="1" x14ac:dyDescent="0.2"/>
  <cols>
    <col min="1" max="1" width="55" style="4" customWidth="1"/>
    <col min="2" max="16384" width="9.140625" style="4"/>
  </cols>
  <sheetData>
    <row r="1" spans="1:8" s="1" customFormat="1" ht="15.75" x14ac:dyDescent="0.25">
      <c r="A1" s="5" t="s">
        <v>248</v>
      </c>
    </row>
    <row r="2" spans="1:8" s="1" customFormat="1" ht="15.75" x14ac:dyDescent="0.25">
      <c r="A2" s="20" t="s">
        <v>0</v>
      </c>
      <c r="B2" s="20"/>
      <c r="C2" s="20"/>
      <c r="D2" s="20"/>
      <c r="E2" s="20"/>
      <c r="F2" s="20"/>
      <c r="G2" s="20"/>
      <c r="H2" s="20"/>
    </row>
    <row r="3" spans="1:8" ht="11.25" customHeight="1" x14ac:dyDescent="0.2">
      <c r="A3" s="25" t="s">
        <v>1</v>
      </c>
      <c r="B3" s="6" t="s">
        <v>2</v>
      </c>
      <c r="C3" s="8"/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</row>
    <row r="4" spans="1:8" ht="11.25" customHeight="1" x14ac:dyDescent="0.2">
      <c r="A4" s="19" t="s">
        <v>245</v>
      </c>
      <c r="B4" s="25"/>
      <c r="C4" s="25"/>
      <c r="D4" s="25"/>
      <c r="E4" s="25"/>
      <c r="F4" s="25"/>
      <c r="G4" s="34">
        <f>314.33-314.33</f>
        <v>0</v>
      </c>
      <c r="H4" s="25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24" t="s">
        <v>9</v>
      </c>
      <c r="B6" s="36">
        <f>300-150</f>
        <v>150</v>
      </c>
      <c r="C6" s="24" t="s">
        <v>10</v>
      </c>
      <c r="D6" s="24" t="s">
        <v>11</v>
      </c>
      <c r="E6" s="36">
        <f>291.2-40</f>
        <v>251.2</v>
      </c>
      <c r="F6" s="35">
        <v>2.65</v>
      </c>
      <c r="G6" s="35">
        <f t="shared" ref="G6:G25" si="0">ROUND(E6*F6*B6/1000,2)</f>
        <v>99.85</v>
      </c>
      <c r="H6" s="24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291.2</v>
      </c>
      <c r="F7" s="28">
        <v>3.78</v>
      </c>
      <c r="G7" s="3">
        <f t="shared" si="0"/>
        <v>13.21</v>
      </c>
      <c r="H7" s="3"/>
    </row>
    <row r="8" spans="1:8" ht="11.25" customHeight="1" x14ac:dyDescent="0.2">
      <c r="A8" s="24" t="s">
        <v>14</v>
      </c>
      <c r="B8" s="36">
        <f>52-26</f>
        <v>26</v>
      </c>
      <c r="C8" s="24" t="s">
        <v>10</v>
      </c>
      <c r="D8" s="24" t="s">
        <v>11</v>
      </c>
      <c r="E8" s="36">
        <f>2911.8-500</f>
        <v>2411.8000000000002</v>
      </c>
      <c r="F8" s="35">
        <v>2.3199999999999998</v>
      </c>
      <c r="G8" s="24">
        <f t="shared" si="0"/>
        <v>145.47999999999999</v>
      </c>
      <c r="H8" s="24" t="s">
        <v>15</v>
      </c>
    </row>
    <row r="9" spans="1:8" ht="11.25" customHeight="1" x14ac:dyDescent="0.2">
      <c r="A9" s="24" t="s">
        <v>16</v>
      </c>
      <c r="B9" s="36">
        <f>12-4</f>
        <v>8</v>
      </c>
      <c r="C9" s="24" t="s">
        <v>10</v>
      </c>
      <c r="D9" s="24" t="s">
        <v>11</v>
      </c>
      <c r="E9" s="24">
        <v>2911.8</v>
      </c>
      <c r="F9" s="35">
        <v>2.98</v>
      </c>
      <c r="G9" s="24">
        <f t="shared" si="0"/>
        <v>69.42</v>
      </c>
      <c r="H9" s="24"/>
    </row>
    <row r="10" spans="1:8" ht="11.25" customHeight="1" x14ac:dyDescent="0.2">
      <c r="A10" s="24" t="s">
        <v>17</v>
      </c>
      <c r="B10" s="36">
        <f>300-150</f>
        <v>150</v>
      </c>
      <c r="C10" s="24" t="s">
        <v>10</v>
      </c>
      <c r="D10" s="24" t="s">
        <v>11</v>
      </c>
      <c r="E10" s="36">
        <f>88-30</f>
        <v>58</v>
      </c>
      <c r="F10" s="35">
        <v>3.58</v>
      </c>
      <c r="G10" s="24">
        <f t="shared" si="0"/>
        <v>31.15</v>
      </c>
      <c r="H10" s="24" t="s">
        <v>15</v>
      </c>
    </row>
    <row r="11" spans="1:8" ht="11.25" customHeight="1" x14ac:dyDescent="0.2">
      <c r="A11" s="24" t="s">
        <v>18</v>
      </c>
      <c r="B11" s="36">
        <f>52-16</f>
        <v>36</v>
      </c>
      <c r="C11" s="24" t="s">
        <v>10</v>
      </c>
      <c r="D11" s="24" t="s">
        <v>19</v>
      </c>
      <c r="E11" s="36">
        <f>88-30</f>
        <v>58</v>
      </c>
      <c r="F11" s="35">
        <v>22.39</v>
      </c>
      <c r="G11" s="24">
        <f t="shared" si="0"/>
        <v>46.75</v>
      </c>
      <c r="H11" s="24" t="s">
        <v>12</v>
      </c>
    </row>
    <row r="12" spans="1:8" ht="11.25" customHeight="1" x14ac:dyDescent="0.2">
      <c r="A12" s="24" t="s">
        <v>20</v>
      </c>
      <c r="B12" s="36">
        <f>300-150</f>
        <v>150</v>
      </c>
      <c r="C12" s="24" t="s">
        <v>10</v>
      </c>
      <c r="D12" s="24" t="s">
        <v>11</v>
      </c>
      <c r="E12" s="24">
        <v>10.5</v>
      </c>
      <c r="F12" s="35">
        <v>3.81</v>
      </c>
      <c r="G12" s="35">
        <f t="shared" si="0"/>
        <v>6</v>
      </c>
      <c r="H12" s="24" t="s">
        <v>12</v>
      </c>
    </row>
    <row r="13" spans="1:8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28">
        <v>0</v>
      </c>
      <c r="G13" s="3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77</v>
      </c>
      <c r="F14" s="28">
        <v>9.76</v>
      </c>
      <c r="G14" s="3">
        <f t="shared" si="0"/>
        <v>0.75</v>
      </c>
      <c r="H14" s="3" t="s">
        <v>25</v>
      </c>
    </row>
    <row r="15" spans="1:8" ht="11.25" customHeight="1" x14ac:dyDescent="0.2">
      <c r="A15" s="24" t="s">
        <v>26</v>
      </c>
      <c r="B15" s="24">
        <v>1</v>
      </c>
      <c r="C15" s="24" t="s">
        <v>10</v>
      </c>
      <c r="D15" s="24" t="s">
        <v>11</v>
      </c>
      <c r="E15" s="36">
        <f>13964-6982</f>
        <v>6982</v>
      </c>
      <c r="F15" s="35">
        <v>3.25</v>
      </c>
      <c r="G15" s="24">
        <f t="shared" si="0"/>
        <v>22.69</v>
      </c>
      <c r="H15" s="24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356</v>
      </c>
      <c r="F16" s="28">
        <v>2.0299999999999998</v>
      </c>
      <c r="G16" s="3">
        <f t="shared" si="0"/>
        <v>0.72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212</v>
      </c>
      <c r="F17" s="28">
        <v>4.75</v>
      </c>
      <c r="G17" s="3">
        <f t="shared" si="0"/>
        <v>1.01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5.5</v>
      </c>
      <c r="F18" s="28">
        <v>4.7300000000000004</v>
      </c>
      <c r="G18" s="3">
        <f t="shared" si="0"/>
        <v>0.05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28">
        <v>4.54</v>
      </c>
      <c r="G19" s="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28">
        <v>3.06</v>
      </c>
      <c r="G20" s="3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88</v>
      </c>
      <c r="F21" s="28">
        <v>2.92</v>
      </c>
      <c r="G21" s="3">
        <f t="shared" si="0"/>
        <v>0.26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44</v>
      </c>
      <c r="F22" s="28">
        <v>5.87</v>
      </c>
      <c r="G22" s="3">
        <f t="shared" si="0"/>
        <v>0.26</v>
      </c>
      <c r="H22" s="3" t="s">
        <v>30</v>
      </c>
    </row>
    <row r="23" spans="1:8" ht="11.25" customHeight="1" x14ac:dyDescent="0.2">
      <c r="A23" s="24" t="s">
        <v>35</v>
      </c>
      <c r="B23" s="36">
        <f>1-1</f>
        <v>0</v>
      </c>
      <c r="C23" s="24" t="s">
        <v>10</v>
      </c>
      <c r="D23" s="24" t="s">
        <v>11</v>
      </c>
      <c r="E23" s="24">
        <v>88</v>
      </c>
      <c r="F23" s="35">
        <v>2.92</v>
      </c>
      <c r="G23" s="24">
        <f t="shared" si="0"/>
        <v>0</v>
      </c>
      <c r="H23" s="24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14.5</v>
      </c>
      <c r="F24" s="28">
        <v>2.37</v>
      </c>
      <c r="G24" s="3">
        <f t="shared" si="0"/>
        <v>0.03</v>
      </c>
      <c r="H24" s="3" t="s">
        <v>25</v>
      </c>
    </row>
    <row r="25" spans="1:8" ht="11.25" customHeight="1" x14ac:dyDescent="0.2">
      <c r="A25" s="24" t="s">
        <v>37</v>
      </c>
      <c r="B25" s="36">
        <f>2-1</f>
        <v>1</v>
      </c>
      <c r="C25" s="24" t="s">
        <v>10</v>
      </c>
      <c r="D25" s="24" t="s">
        <v>11</v>
      </c>
      <c r="E25" s="24">
        <v>941</v>
      </c>
      <c r="F25" s="35">
        <v>2.3199999999999998</v>
      </c>
      <c r="G25" s="24">
        <f t="shared" si="0"/>
        <v>2.1800000000000002</v>
      </c>
      <c r="H25" s="24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29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28">
        <v>0</v>
      </c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28">
        <v>50.76</v>
      </c>
      <c r="G28" s="3"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29"/>
      <c r="G29" s="7"/>
      <c r="H29" s="8"/>
    </row>
    <row r="30" spans="1:8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28">
        <v>8.6999999999999993</v>
      </c>
      <c r="G30" s="3">
        <f>14.33-14.33</f>
        <v>0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28">
        <v>0</v>
      </c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853</v>
      </c>
      <c r="F32" s="28">
        <v>1.91</v>
      </c>
      <c r="G32" s="3">
        <f t="shared" ref="G32:G33" si="1">ROUND(E32*F32*B32/1000,2)</f>
        <v>1.63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853</v>
      </c>
      <c r="F33" s="28">
        <v>1.91</v>
      </c>
      <c r="G33" s="3">
        <f t="shared" si="1"/>
        <v>1.63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29"/>
      <c r="G34" s="7"/>
      <c r="H34" s="8"/>
    </row>
    <row r="35" spans="1:8" ht="11.25" customHeight="1" x14ac:dyDescent="0.2">
      <c r="A35" s="24" t="s">
        <v>54</v>
      </c>
      <c r="B35" s="36">
        <f>366-50</f>
        <v>316</v>
      </c>
      <c r="C35" s="24" t="s">
        <v>10</v>
      </c>
      <c r="D35" s="24" t="s">
        <v>47</v>
      </c>
      <c r="E35" s="24">
        <v>26</v>
      </c>
      <c r="F35" s="35">
        <v>9.6199999999999992</v>
      </c>
      <c r="G35" s="24">
        <f t="shared" ref="G35:G36" si="2">ROUND(E35*F35*B35/1000,2)</f>
        <v>79.040000000000006</v>
      </c>
      <c r="H35" s="24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52</v>
      </c>
      <c r="F36" s="28">
        <v>4.2</v>
      </c>
      <c r="G36" s="3">
        <f t="shared" si="2"/>
        <v>5.24</v>
      </c>
      <c r="H36" s="3"/>
    </row>
    <row r="37" spans="1:8" s="10" customFormat="1" ht="11.25" customHeight="1" x14ac:dyDescent="0.2">
      <c r="A37" s="21" t="s">
        <v>56</v>
      </c>
      <c r="B37" s="22"/>
      <c r="C37" s="22"/>
      <c r="D37" s="22"/>
      <c r="E37" s="22"/>
      <c r="F37" s="8"/>
      <c r="G37" s="26">
        <f>SUM(G6:G36)</f>
        <v>527.34999999999991</v>
      </c>
      <c r="H37" s="26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/>
      <c r="F39" s="3"/>
      <c r="G39" s="31">
        <v>125.27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24" t="s">
        <v>60</v>
      </c>
      <c r="B41" s="36">
        <f>366-50</f>
        <v>316</v>
      </c>
      <c r="C41" s="24" t="s">
        <v>10</v>
      </c>
      <c r="D41" s="24" t="s">
        <v>61</v>
      </c>
      <c r="E41" s="37">
        <v>1.88</v>
      </c>
      <c r="F41" s="37">
        <v>337.27</v>
      </c>
      <c r="G41" s="24">
        <f t="shared" ref="G41" si="3">ROUND(E41*F41*B41/1000,2)</f>
        <v>200.37</v>
      </c>
      <c r="H41" s="24"/>
    </row>
    <row r="42" spans="1:8" s="10" customFormat="1" ht="11.25" customHeight="1" x14ac:dyDescent="0.2">
      <c r="A42" s="21" t="s">
        <v>62</v>
      </c>
      <c r="B42" s="22"/>
      <c r="C42" s="22"/>
      <c r="D42" s="22"/>
      <c r="E42" s="22"/>
      <c r="F42" s="8"/>
      <c r="G42" s="26">
        <f>SUM(G39:G41)</f>
        <v>325.64</v>
      </c>
      <c r="H42" s="26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3">
        <f>ROUND(G44/F44/B44*1000,3)</f>
        <v>0.59599999999999997</v>
      </c>
      <c r="F44" s="3">
        <v>536</v>
      </c>
      <c r="G44" s="31">
        <v>116.95</v>
      </c>
      <c r="H44" s="3"/>
    </row>
    <row r="45" spans="1:8" s="10" customFormat="1" ht="11.25" customHeight="1" x14ac:dyDescent="0.2">
      <c r="A45" s="21" t="s">
        <v>65</v>
      </c>
      <c r="B45" s="22"/>
      <c r="C45" s="22"/>
      <c r="D45" s="22"/>
      <c r="E45" s="22"/>
      <c r="F45" s="23"/>
      <c r="G45" s="26">
        <f>SUM(G44)</f>
        <v>116.95</v>
      </c>
      <c r="H45" s="26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f>2.99-2.99</f>
        <v>0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f>6.29-6.29</f>
        <v>0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f>5.69-5.69</f>
        <v>0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f>2.99-2.99</f>
        <v>0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f>11.98-11.98</f>
        <v>0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f>29.95-29.95</f>
        <v>0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f>2.87-2.87</f>
        <v>0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f>3.11-3.11</f>
        <v>0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f>11.98-11.98</f>
        <v>0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f>29.95-29.95</f>
        <v>0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f>17.37-17.37</f>
        <v>0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f>18.57-18.57</f>
        <v>0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f>3.17-3.17</f>
        <v>0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f>2.82-2.82</f>
        <v>0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f>5.99-5.99</f>
        <v>0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0</v>
      </c>
      <c r="H108" s="3"/>
    </row>
    <row r="109" spans="1:8" s="10" customFormat="1" ht="11.25" customHeight="1" x14ac:dyDescent="0.2">
      <c r="A109" s="21" t="s">
        <v>135</v>
      </c>
      <c r="B109" s="22"/>
      <c r="C109" s="22"/>
      <c r="D109" s="22"/>
      <c r="E109" s="22"/>
      <c r="F109" s="23"/>
      <c r="G109" s="26">
        <f>SUM(G49:G108)</f>
        <v>0</v>
      </c>
      <c r="H109" s="26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11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11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11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f>19.95-10</f>
        <v>9.9499999999999993</v>
      </c>
      <c r="H115" s="3" t="s">
        <v>126</v>
      </c>
    </row>
    <row r="116" spans="1:11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f>15.72-10</f>
        <v>5.7200000000000006</v>
      </c>
      <c r="H116" s="3" t="s">
        <v>126</v>
      </c>
    </row>
    <row r="117" spans="1:11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2.99</v>
      </c>
      <c r="H117" s="3" t="s">
        <v>126</v>
      </c>
    </row>
    <row r="118" spans="1:11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11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11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26.95</v>
      </c>
      <c r="G120" s="31">
        <v>26.95</v>
      </c>
      <c r="H120" s="3" t="s">
        <v>126</v>
      </c>
    </row>
    <row r="121" spans="1:11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f>20.79-15</f>
        <v>5.7899999999999991</v>
      </c>
      <c r="H121" s="3" t="s">
        <v>126</v>
      </c>
    </row>
    <row r="122" spans="1:11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3.11</v>
      </c>
      <c r="H122" s="3" t="s">
        <v>81</v>
      </c>
    </row>
    <row r="123" spans="1:11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2.87</v>
      </c>
      <c r="H123" s="3"/>
    </row>
    <row r="124" spans="1:11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1">
        <v>10.06</v>
      </c>
      <c r="H124" s="3" t="s">
        <v>126</v>
      </c>
    </row>
    <row r="125" spans="1:11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f>G125</f>
        <v>54.89</v>
      </c>
      <c r="G125" s="31">
        <v>54.89</v>
      </c>
      <c r="H125" s="3"/>
      <c r="I125" s="4">
        <v>0.66600000000000004</v>
      </c>
      <c r="J125" s="18">
        <f>K125*I125</f>
        <v>54.891720000000007</v>
      </c>
      <c r="K125" s="4">
        <v>82.42</v>
      </c>
    </row>
    <row r="126" spans="1:11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f t="shared" ref="F126:F127" si="4">G126</f>
        <v>6.92</v>
      </c>
      <c r="G126" s="31">
        <v>6.92</v>
      </c>
      <c r="H126" s="44">
        <f>G126+G127</f>
        <v>27.53</v>
      </c>
      <c r="I126" s="4">
        <v>8.4000000000000005E-2</v>
      </c>
      <c r="J126" s="18">
        <f>K125*I126</f>
        <v>6.923280000000001</v>
      </c>
    </row>
    <row r="127" spans="1:11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f t="shared" si="4"/>
        <v>20.61</v>
      </c>
      <c r="G127" s="31">
        <v>20.61</v>
      </c>
      <c r="H127" s="45"/>
      <c r="I127" s="4">
        <v>0.25</v>
      </c>
      <c r="J127" s="18">
        <f>K125*I127</f>
        <v>20.605</v>
      </c>
    </row>
    <row r="128" spans="1:11" ht="11.25" customHeight="1" x14ac:dyDescent="0.2">
      <c r="A128" s="3" t="s">
        <v>153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3.17</v>
      </c>
      <c r="H128" s="3" t="s">
        <v>126</v>
      </c>
      <c r="J128" s="4">
        <f>SUM(J125:J127)</f>
        <v>82.42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f>11.93-8</f>
        <v>3.9299999999999997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f>19.35-12</f>
        <v>7.3500000000000014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f>15.94-10</f>
        <v>5.9399999999999995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f>10.55-7</f>
        <v>3.5500000000000007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f>17.97-10</f>
        <v>7.9699999999999989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f>5.39-5.39</f>
        <v>0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f>6.59-6.59</f>
        <v>0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1">
        <v>9.52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11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  <c r="I145" s="4">
        <v>1010.61</v>
      </c>
      <c r="J145" s="32">
        <v>2</v>
      </c>
      <c r="K145" s="4">
        <f>I145*J145/1000</f>
        <v>2.02122</v>
      </c>
    </row>
    <row r="146" spans="1:11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11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11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11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11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11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11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11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f>17.97-17.97</f>
        <v>0</v>
      </c>
      <c r="H153" s="3"/>
    </row>
    <row r="154" spans="1:11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f>2.99-2.99</f>
        <v>0</v>
      </c>
      <c r="H154" s="3"/>
    </row>
    <row r="155" spans="1:11" s="10" customFormat="1" ht="11.25" customHeight="1" x14ac:dyDescent="0.2">
      <c r="A155" s="21" t="s">
        <v>180</v>
      </c>
      <c r="B155" s="22"/>
      <c r="C155" s="22"/>
      <c r="D155" s="22"/>
      <c r="E155" s="22"/>
      <c r="F155" s="23"/>
      <c r="G155" s="26">
        <f>SUM(G112:G154)</f>
        <v>191.29000000000002</v>
      </c>
      <c r="H155" s="26"/>
    </row>
    <row r="156" spans="1:11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11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4</v>
      </c>
      <c r="F157" s="3">
        <f>ROUND(G157/E157/B157*1000,2)</f>
        <v>906.77</v>
      </c>
      <c r="G157" s="31">
        <v>1327.51</v>
      </c>
      <c r="H157" s="3" t="s">
        <v>156</v>
      </c>
    </row>
    <row r="158" spans="1:11" s="10" customFormat="1" ht="11.25" customHeight="1" x14ac:dyDescent="0.2">
      <c r="A158" s="21" t="s">
        <v>183</v>
      </c>
      <c r="B158" s="22"/>
      <c r="C158" s="22"/>
      <c r="D158" s="22"/>
      <c r="E158" s="22"/>
      <c r="F158" s="23"/>
      <c r="G158" s="26">
        <f>SUM(G157)</f>
        <v>1327.51</v>
      </c>
      <c r="H158" s="26"/>
    </row>
    <row r="159" spans="1:11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11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10</v>
      </c>
      <c r="D161" s="3" t="s">
        <v>71</v>
      </c>
      <c r="E161" s="3">
        <v>2</v>
      </c>
      <c r="F161" s="3">
        <f>ROUND(G161/E161/B161*1000,2)</f>
        <v>11958.75</v>
      </c>
      <c r="G161" s="31">
        <v>287.01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21" t="s">
        <v>188</v>
      </c>
      <c r="B163" s="22"/>
      <c r="C163" s="22"/>
      <c r="D163" s="22"/>
      <c r="E163" s="22"/>
      <c r="F163" s="23"/>
      <c r="G163" s="26">
        <f>SUM(G160:G162)</f>
        <v>287.01</v>
      </c>
      <c r="H163" s="26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1">
        <v>14.08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1">
        <v>116.94</v>
      </c>
      <c r="H167" s="3"/>
    </row>
    <row r="168" spans="1:8" s="10" customFormat="1" ht="11.25" customHeight="1" x14ac:dyDescent="0.2">
      <c r="A168" s="21" t="s">
        <v>193</v>
      </c>
      <c r="B168" s="22"/>
      <c r="C168" s="22"/>
      <c r="D168" s="22"/>
      <c r="E168" s="22"/>
      <c r="F168" s="23"/>
      <c r="G168" s="26">
        <f>SUM(G165:G167)</f>
        <v>131.02000000000001</v>
      </c>
      <c r="H168" s="26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21" t="s">
        <v>197</v>
      </c>
      <c r="B172" s="22"/>
      <c r="C172" s="22"/>
      <c r="D172" s="22"/>
      <c r="E172" s="22"/>
      <c r="F172" s="23"/>
      <c r="G172" s="26">
        <f>SUM(G170:G171)</f>
        <v>0</v>
      </c>
      <c r="H172" s="26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1">
        <v>35.58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f>28.14-28.14</f>
        <v>0</v>
      </c>
      <c r="H175" s="3" t="s">
        <v>200</v>
      </c>
    </row>
    <row r="176" spans="1:8" s="10" customFormat="1" ht="11.25" customHeight="1" x14ac:dyDescent="0.2">
      <c r="A176" s="21" t="s">
        <v>202</v>
      </c>
      <c r="B176" s="22"/>
      <c r="C176" s="22"/>
      <c r="D176" s="22"/>
      <c r="E176" s="22"/>
      <c r="F176" s="23"/>
      <c r="G176" s="26">
        <f>SUM(G174:G175)</f>
        <v>35.58</v>
      </c>
      <c r="H176" s="26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1">
        <f>170.08-17.46</f>
        <v>152.62</v>
      </c>
      <c r="H178" s="3"/>
    </row>
    <row r="179" spans="1:8" s="10" customFormat="1" ht="11.25" customHeight="1" x14ac:dyDescent="0.2">
      <c r="A179" s="21" t="s">
        <v>205</v>
      </c>
      <c r="B179" s="22"/>
      <c r="C179" s="22"/>
      <c r="D179" s="22"/>
      <c r="E179" s="22"/>
      <c r="F179" s="23"/>
      <c r="G179" s="26">
        <f>SUM(G178)</f>
        <v>152.62</v>
      </c>
      <c r="H179" s="26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1">
        <v>18.98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21" t="s">
        <v>210</v>
      </c>
      <c r="B185" s="22"/>
      <c r="C185" s="22"/>
      <c r="D185" s="22"/>
      <c r="E185" s="22"/>
      <c r="F185" s="23"/>
      <c r="G185" s="26">
        <f>SUM(G182:G184)</f>
        <v>18.98</v>
      </c>
      <c r="H185" s="26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1">
        <v>0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1">
        <v>4.3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30" t="s">
        <v>249</v>
      </c>
      <c r="B190" s="30"/>
      <c r="C190" s="30"/>
      <c r="D190" s="30"/>
      <c r="E190" s="30"/>
      <c r="F190" s="30"/>
      <c r="G190" s="30">
        <v>25.07</v>
      </c>
      <c r="H190" s="30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21" t="s">
        <v>220</v>
      </c>
      <c r="B194" s="22"/>
      <c r="C194" s="22"/>
      <c r="D194" s="22"/>
      <c r="E194" s="22"/>
      <c r="F194" s="23"/>
      <c r="G194" s="26">
        <f>SUM(G187:G193)</f>
        <v>29.37</v>
      </c>
      <c r="H194" s="26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21" t="s">
        <v>237</v>
      </c>
      <c r="B206" s="22"/>
      <c r="C206" s="22"/>
      <c r="D206" s="22"/>
      <c r="E206" s="22"/>
      <c r="F206" s="23"/>
      <c r="G206" s="26">
        <f>SUM(G196:G205)</f>
        <v>0</v>
      </c>
      <c r="H206" s="26"/>
    </row>
    <row r="207" spans="1:8" s="10" customFormat="1" ht="11.25" customHeight="1" x14ac:dyDescent="0.2">
      <c r="A207" s="21" t="s">
        <v>238</v>
      </c>
      <c r="B207" s="22"/>
      <c r="C207" s="22"/>
      <c r="D207" s="22"/>
      <c r="E207" s="22"/>
      <c r="F207" s="23"/>
      <c r="G207" s="26">
        <f>G37+G42+G45+G109+G155+G158+G163+G168+G172+G176+G179+G185+G194+G206+G4</f>
        <v>3143.3199999999997</v>
      </c>
      <c r="H207" s="26"/>
    </row>
    <row r="209" spans="1:8" ht="11.25" customHeight="1" x14ac:dyDescent="0.2">
      <c r="E209" s="4" t="s">
        <v>241</v>
      </c>
      <c r="F209" s="4">
        <f>(25.51*6+26.53*6)/12</f>
        <v>26.02</v>
      </c>
      <c r="G209" s="14">
        <f>G207*1000/F210/12</f>
        <v>26.019999337770269</v>
      </c>
      <c r="H209" s="15">
        <f>F209/G209</f>
        <v>1.0000000254507975</v>
      </c>
    </row>
    <row r="210" spans="1:8" ht="11.25" customHeight="1" x14ac:dyDescent="0.2">
      <c r="E210" s="4" t="s">
        <v>242</v>
      </c>
      <c r="F210" s="16">
        <v>10067</v>
      </c>
      <c r="G210" s="17">
        <f>F210*F209*12/1000</f>
        <v>3143.32008</v>
      </c>
    </row>
    <row r="211" spans="1:8" ht="11.25" customHeight="1" x14ac:dyDescent="0.2">
      <c r="G211" s="14"/>
    </row>
    <row r="212" spans="1:8" ht="11.25" customHeight="1" x14ac:dyDescent="0.2">
      <c r="F212" s="4" t="s">
        <v>243</v>
      </c>
      <c r="G212" s="14">
        <f>G210-G207</f>
        <v>8.0000000252766768E-5</v>
      </c>
      <c r="H212" s="18">
        <f>G214-G207</f>
        <v>-314.33192799999961</v>
      </c>
    </row>
    <row r="213" spans="1:8" ht="11.25" customHeight="1" x14ac:dyDescent="0.2">
      <c r="G213" s="14"/>
    </row>
    <row r="214" spans="1:8" ht="11.25" customHeight="1" x14ac:dyDescent="0.2">
      <c r="G214" s="14">
        <f>G210*0.9</f>
        <v>2828.9880720000001</v>
      </c>
    </row>
    <row r="215" spans="1:8" ht="11.25" customHeight="1" x14ac:dyDescent="0.2">
      <c r="F215" s="4" t="s">
        <v>244</v>
      </c>
      <c r="G215" s="17">
        <f>G210*0.1</f>
        <v>314.33200800000003</v>
      </c>
    </row>
    <row r="216" spans="1:8" ht="11.25" customHeight="1" x14ac:dyDescent="0.2">
      <c r="G216" s="14">
        <f>SUM(G214:G215)</f>
        <v>3143.32008</v>
      </c>
    </row>
    <row r="217" spans="1:8" ht="11.25" customHeight="1" x14ac:dyDescent="0.2">
      <c r="A217" s="27"/>
      <c r="B217" s="27"/>
      <c r="C217" s="27"/>
      <c r="D217" s="27"/>
      <c r="E217" s="27"/>
      <c r="F217" s="27"/>
      <c r="G217" s="27"/>
    </row>
  </sheetData>
  <mergeCells count="1">
    <mergeCell ref="H126:H1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2017-02-17T06:10:44Z</dcterms:modified>
</cp:coreProperties>
</file>